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Full-Scale to Model" sheetId="1" r:id="rId1"/>
    <sheet name="Model to Model" sheetId="2" r:id="rId2"/>
    <sheet name="Full-Scale Examples" sheetId="3" r:id="rId3"/>
  </sheets>
  <definedNames/>
  <calcPr fullCalcOnLoad="1"/>
</workbook>
</file>

<file path=xl/sharedStrings.xml><?xml version="1.0" encoding="utf-8"?>
<sst xmlns="http://schemas.openxmlformats.org/spreadsheetml/2006/main" count="148" uniqueCount="50">
  <si>
    <t>Plane Being Scaled</t>
  </si>
  <si>
    <t>Antonov An-2</t>
  </si>
  <si>
    <t>inputs</t>
  </si>
  <si>
    <t>equivalents</t>
  </si>
  <si>
    <t>Wing Area sq.ft.</t>
  </si>
  <si>
    <t>sq.in.</t>
  </si>
  <si>
    <t>Weight in pounds</t>
  </si>
  <si>
    <t>ounces</t>
  </si>
  <si>
    <t>Wing Span in feet</t>
  </si>
  <si>
    <t>inches</t>
  </si>
  <si>
    <t>Horsepower</t>
  </si>
  <si>
    <t>watts</t>
  </si>
  <si>
    <t>Prop Diameter in Inches</t>
  </si>
  <si>
    <t>Maximum Speed MPH</t>
  </si>
  <si>
    <t>Prop RPM</t>
  </si>
  <si>
    <t>Results</t>
  </si>
  <si>
    <t>Wing Cube Loading Factor</t>
  </si>
  <si>
    <t>Wing Area Loading</t>
  </si>
  <si>
    <t>oz./sq.ft.</t>
  </si>
  <si>
    <t>Watts per pound</t>
  </si>
  <si>
    <t>Prop Pitch in inches</t>
  </si>
  <si>
    <t>Stall Speed MPH</t>
  </si>
  <si>
    <t>Pitch Speed to Stall Speed Ratio</t>
  </si>
  <si>
    <t>Scaling Factor</t>
  </si>
  <si>
    <t>Watts in required</t>
  </si>
  <si>
    <t>Pitch Speed MPH</t>
  </si>
  <si>
    <t>Lower Pitch</t>
  </si>
  <si>
    <t>RPM</t>
  </si>
  <si>
    <t>Higher Pitch</t>
  </si>
  <si>
    <t>Pitch &amp; RPM alternates</t>
  </si>
  <si>
    <t>To Maintain Pitch Speed</t>
  </si>
  <si>
    <t>Electric Plane Being Scaled</t>
  </si>
  <si>
    <t>Electro Flying Fusion</t>
  </si>
  <si>
    <t>Wing Area square Inches</t>
  </si>
  <si>
    <t>RTF Weight in Ounces</t>
  </si>
  <si>
    <t>Wing Span in inches</t>
  </si>
  <si>
    <t>Watts in</t>
  </si>
  <si>
    <t>Pitch Speed</t>
  </si>
  <si>
    <t>Wing Area sq.in.</t>
  </si>
  <si>
    <t>Weight in ounces</t>
  </si>
  <si>
    <t>J-3 Cub</t>
  </si>
  <si>
    <t>PT-17</t>
  </si>
  <si>
    <t>PT-19</t>
  </si>
  <si>
    <t>AT-6</t>
  </si>
  <si>
    <t>BT-13</t>
  </si>
  <si>
    <t>A6M2 Zero</t>
  </si>
  <si>
    <t>Spitfire Mk. VB</t>
  </si>
  <si>
    <t>B-25</t>
  </si>
  <si>
    <t>P-51D</t>
  </si>
  <si>
    <t>to achieve pitch speed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</si>
</sst>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"/>
  </numFmts>
  <fonts count="3">
    <font>
      <sz val="10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2" borderId="0" xfId="0" applyFont="1" applyFill="1" applyAlignment="1">
      <alignment/>
    </xf>
    <xf numFmtId="165" fontId="2" fillId="3" borderId="0" xfId="0" applyNumberFormat="1" applyFont="1" applyFill="1" applyAlignment="1">
      <alignment/>
    </xf>
    <xf numFmtId="166" fontId="2" fillId="2" borderId="0" xfId="0" applyNumberFormat="1" applyFont="1" applyFill="1" applyAlignment="1">
      <alignment/>
    </xf>
    <xf numFmtId="166" fontId="2" fillId="3" borderId="0" xfId="0" applyNumberFormat="1" applyFont="1" applyFill="1" applyAlignment="1">
      <alignment/>
    </xf>
    <xf numFmtId="164" fontId="1" fillId="0" borderId="0" xfId="0" applyFont="1" applyAlignment="1">
      <alignment horizontal="right"/>
    </xf>
    <xf numFmtId="166" fontId="1" fillId="0" borderId="0" xfId="0" applyNumberFormat="1" applyFont="1" applyAlignment="1">
      <alignment/>
    </xf>
    <xf numFmtId="164" fontId="2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="90" zoomScaleNormal="90" workbookViewId="0" topLeftCell="A1">
      <selection activeCell="D1" sqref="D1"/>
    </sheetView>
  </sheetViews>
  <sheetFormatPr defaultColWidth="12.57421875" defaultRowHeight="12.75"/>
  <cols>
    <col min="1" max="1" width="39.28125" style="0" customWidth="1"/>
    <col min="2" max="2" width="17.8515625" style="0" customWidth="1"/>
    <col min="3" max="3" width="14.57421875" style="0" customWidth="1"/>
    <col min="4" max="4" width="9.8515625" style="0" customWidth="1"/>
    <col min="5" max="5" width="14.57421875" style="0" customWidth="1"/>
    <col min="6" max="6" width="10.00390625" style="0" customWidth="1"/>
    <col min="7" max="7" width="17.8515625" style="0" customWidth="1"/>
    <col min="8" max="8" width="8.7109375" style="0" customWidth="1"/>
    <col min="9" max="9" width="7.8515625" style="0" customWidth="1"/>
    <col min="10" max="10" width="8.140625" style="0" customWidth="1"/>
    <col min="11" max="11" width="8.28125" style="0" customWidth="1"/>
    <col min="12" max="12" width="8.140625" style="0" customWidth="1"/>
    <col min="13" max="13" width="10.7109375" style="0" customWidth="1"/>
    <col min="14" max="14" width="14.28125" style="0" customWidth="1"/>
    <col min="15" max="16384" width="11.57421875" style="0" customWidth="1"/>
  </cols>
  <sheetData>
    <row r="1" spans="1:14" ht="12.75">
      <c r="A1" s="1" t="s">
        <v>0</v>
      </c>
      <c r="B1" s="2" t="s">
        <v>1</v>
      </c>
      <c r="C1" s="2"/>
      <c r="D1" s="1"/>
      <c r="G1" s="1"/>
      <c r="H1" s="1"/>
      <c r="I1" s="1"/>
      <c r="J1" s="1"/>
      <c r="K1" s="1"/>
      <c r="L1" s="1"/>
      <c r="M1" s="1"/>
      <c r="N1" s="1"/>
    </row>
    <row r="2" spans="1:14" ht="12.75">
      <c r="A2" s="1" t="s">
        <v>2</v>
      </c>
      <c r="B2" s="1"/>
      <c r="C2" s="1" t="s">
        <v>3</v>
      </c>
      <c r="D2" s="1"/>
      <c r="G2" s="1"/>
      <c r="H2" s="1"/>
      <c r="I2" s="1"/>
      <c r="J2" s="1"/>
      <c r="K2" s="1"/>
      <c r="L2" s="1"/>
      <c r="M2" s="1"/>
      <c r="N2" s="1"/>
    </row>
    <row r="3" spans="1:14" ht="12.75">
      <c r="A3" s="1" t="s">
        <v>4</v>
      </c>
      <c r="B3" s="2">
        <v>763.3</v>
      </c>
      <c r="C3" s="3">
        <f>B3*144</f>
        <v>109915.2</v>
      </c>
      <c r="D3" s="1" t="s">
        <v>5</v>
      </c>
      <c r="G3" s="1"/>
      <c r="H3" s="1"/>
      <c r="I3" s="1"/>
      <c r="J3" s="1"/>
      <c r="K3" s="1"/>
      <c r="L3" s="1"/>
      <c r="M3" s="1"/>
      <c r="N3" s="1"/>
    </row>
    <row r="4" spans="1:14" ht="12.75">
      <c r="A4" s="1" t="s">
        <v>6</v>
      </c>
      <c r="B4" s="2">
        <v>9650</v>
      </c>
      <c r="C4" s="3">
        <f>B4*16</f>
        <v>154400</v>
      </c>
      <c r="D4" s="1" t="s">
        <v>7</v>
      </c>
      <c r="G4" s="1"/>
      <c r="H4" s="1"/>
      <c r="I4" s="1"/>
      <c r="J4" s="1"/>
      <c r="K4" s="1"/>
      <c r="L4" s="1"/>
      <c r="M4" s="1"/>
      <c r="N4" s="1"/>
    </row>
    <row r="5" spans="1:14" ht="12.75">
      <c r="A5" s="1" t="s">
        <v>8</v>
      </c>
      <c r="B5" s="4">
        <v>59.71</v>
      </c>
      <c r="C5" s="3">
        <f>B5*12</f>
        <v>716.52</v>
      </c>
      <c r="D5" s="1" t="s">
        <v>9</v>
      </c>
      <c r="G5" s="1"/>
      <c r="H5" s="1"/>
      <c r="I5" s="1"/>
      <c r="J5" s="1"/>
      <c r="K5" s="1"/>
      <c r="L5" s="1"/>
      <c r="M5" s="1"/>
      <c r="N5" s="1"/>
    </row>
    <row r="6" spans="1:14" ht="12.75">
      <c r="A6" s="1" t="s">
        <v>10</v>
      </c>
      <c r="B6" s="2">
        <v>1000</v>
      </c>
      <c r="C6" s="3">
        <f>B6*746</f>
        <v>746000</v>
      </c>
      <c r="D6" s="1" t="s">
        <v>11</v>
      </c>
      <c r="G6" s="1"/>
      <c r="H6" s="1"/>
      <c r="I6" s="1"/>
      <c r="J6" s="1"/>
      <c r="K6" s="1"/>
      <c r="L6" s="1"/>
      <c r="M6" s="1"/>
      <c r="N6" s="1"/>
    </row>
    <row r="7" spans="1:14" ht="12.75">
      <c r="A7" s="1" t="s">
        <v>12</v>
      </c>
      <c r="B7" s="2">
        <v>141.73</v>
      </c>
      <c r="C7" s="1"/>
      <c r="D7" s="1"/>
      <c r="G7" s="1"/>
      <c r="H7" s="1"/>
      <c r="I7" s="1"/>
      <c r="J7" s="1"/>
      <c r="K7" s="1"/>
      <c r="L7" s="1"/>
      <c r="M7" s="1"/>
      <c r="N7" s="1"/>
    </row>
    <row r="8" spans="1:14" ht="12.75">
      <c r="A8" s="1" t="s">
        <v>13</v>
      </c>
      <c r="B8" s="2">
        <v>160</v>
      </c>
      <c r="C8" s="1"/>
      <c r="D8" s="1"/>
      <c r="G8" s="1"/>
      <c r="H8" s="1"/>
      <c r="I8" s="1"/>
      <c r="J8" s="1"/>
      <c r="K8" s="1"/>
      <c r="L8" s="1"/>
      <c r="M8" s="1"/>
      <c r="N8" s="1"/>
    </row>
    <row r="9" spans="1:14" ht="12.75">
      <c r="A9" s="1" t="s">
        <v>14</v>
      </c>
      <c r="B9" s="2">
        <v>2200</v>
      </c>
      <c r="C9" s="1"/>
      <c r="D9" s="1"/>
      <c r="G9" s="1"/>
      <c r="H9" s="1"/>
      <c r="I9" s="1"/>
      <c r="J9" s="1"/>
      <c r="K9" s="1"/>
      <c r="L9" s="1"/>
      <c r="M9" s="1"/>
      <c r="N9" s="1"/>
    </row>
    <row r="10" spans="1:4" ht="12.75">
      <c r="A10" s="1"/>
      <c r="B10" s="1"/>
      <c r="C10" s="1"/>
      <c r="D10" s="1"/>
    </row>
    <row r="11" spans="1:4" ht="12.75">
      <c r="A11" s="1" t="s">
        <v>15</v>
      </c>
      <c r="B11" s="1"/>
      <c r="C11" s="1"/>
      <c r="D11" s="1"/>
    </row>
    <row r="12" spans="1:4" ht="12.75">
      <c r="A12" s="1" t="s">
        <v>16</v>
      </c>
      <c r="B12" s="5">
        <f>C4/B3^1.5</f>
        <v>7.321573093483856</v>
      </c>
      <c r="C12" s="1"/>
      <c r="D12" s="1"/>
    </row>
    <row r="13" spans="1:4" ht="12.75">
      <c r="A13" s="1" t="s">
        <v>17</v>
      </c>
      <c r="B13" s="5">
        <f>C4/B3</f>
        <v>202.27957552731561</v>
      </c>
      <c r="C13" s="1" t="s">
        <v>18</v>
      </c>
      <c r="D13" s="1"/>
    </row>
    <row r="14" spans="1:4" ht="12.75">
      <c r="A14" s="1" t="s">
        <v>19</v>
      </c>
      <c r="B14" s="5">
        <f>C6/B4</f>
        <v>77.30569948186529</v>
      </c>
      <c r="C14" s="1"/>
      <c r="D14" s="1"/>
    </row>
    <row r="15" spans="1:4" ht="12.75">
      <c r="A15" s="1" t="s">
        <v>20</v>
      </c>
      <c r="B15" s="5">
        <f>(B8*1056)/B9</f>
        <v>76.8</v>
      </c>
      <c r="C15" s="1"/>
      <c r="D15" s="1"/>
    </row>
    <row r="16" spans="1:4" ht="12.75">
      <c r="A16" s="1" t="s">
        <v>21</v>
      </c>
      <c r="B16" s="5">
        <f>3.7*SQRT(B13)</f>
        <v>52.62325901128655</v>
      </c>
      <c r="C16" s="1"/>
      <c r="D16" s="1"/>
    </row>
    <row r="17" spans="1:4" ht="12.75">
      <c r="A17" s="1" t="s">
        <v>22</v>
      </c>
      <c r="B17" s="5">
        <f>B8/B16</f>
        <v>3.0404806354863627</v>
      </c>
      <c r="C17" s="1"/>
      <c r="D17" s="1"/>
    </row>
    <row r="18" spans="1:4" ht="12.75">
      <c r="A18" s="1"/>
      <c r="B18" s="1"/>
      <c r="C18" s="1"/>
      <c r="D18" s="1"/>
    </row>
    <row r="19" spans="1:4" ht="12.75">
      <c r="A19" s="6" t="s">
        <v>23</v>
      </c>
      <c r="B19" s="2">
        <f>1/9</f>
        <v>0.1111111111111111</v>
      </c>
      <c r="C19" s="1"/>
      <c r="D19" s="1"/>
    </row>
    <row r="20" spans="1:4" ht="12.75">
      <c r="A20" s="1" t="s">
        <v>4</v>
      </c>
      <c r="B20" s="5">
        <f>(SQRT(B3)*B19)^2</f>
        <v>9.423456790123454</v>
      </c>
      <c r="C20" s="3">
        <f>(SQRT(C3)*B19)^2</f>
        <v>1356.9777777777779</v>
      </c>
      <c r="D20" s="1" t="s">
        <v>5</v>
      </c>
    </row>
    <row r="21" spans="1:4" ht="12.75">
      <c r="A21" s="1" t="s">
        <v>6</v>
      </c>
      <c r="B21" s="5">
        <f>((C20/144)^1.5*B12)/16</f>
        <v>13.237311385459538</v>
      </c>
      <c r="C21" s="3">
        <f>B21*16</f>
        <v>211.7969821673526</v>
      </c>
      <c r="D21" s="1" t="s">
        <v>7</v>
      </c>
    </row>
    <row r="22" spans="1:4" ht="12.75">
      <c r="A22" s="1" t="s">
        <v>8</v>
      </c>
      <c r="B22" s="5">
        <f>B5*B19</f>
        <v>6.634444444444444</v>
      </c>
      <c r="C22" s="3">
        <f>B22*12</f>
        <v>79.61333333333333</v>
      </c>
      <c r="D22" s="1" t="s">
        <v>9</v>
      </c>
    </row>
    <row r="23" spans="1:4" ht="12.75">
      <c r="A23" s="1" t="s">
        <v>17</v>
      </c>
      <c r="B23" s="5">
        <f>C21/B20</f>
        <v>22.47550839192397</v>
      </c>
      <c r="C23" s="1" t="s">
        <v>18</v>
      </c>
      <c r="D23" s="1"/>
    </row>
    <row r="24" spans="1:4" ht="12.75">
      <c r="A24" s="1" t="s">
        <v>24</v>
      </c>
      <c r="B24" s="5">
        <f>B21*B14</f>
        <v>1023.3196159122089</v>
      </c>
      <c r="C24" s="1"/>
      <c r="D24" s="1"/>
    </row>
    <row r="25" spans="1:4" ht="12.75">
      <c r="A25" s="1" t="s">
        <v>21</v>
      </c>
      <c r="B25" s="5">
        <f>3.7*SQRT(B23)</f>
        <v>17.54108633709552</v>
      </c>
      <c r="C25" s="1"/>
      <c r="D25" s="1"/>
    </row>
    <row r="26" spans="1:4" ht="12.75">
      <c r="A26" s="1" t="s">
        <v>12</v>
      </c>
      <c r="B26" s="3">
        <f>B7*B19</f>
        <v>15.747777777777776</v>
      </c>
      <c r="C26" s="1"/>
      <c r="D26" s="1"/>
    </row>
    <row r="27" spans="1:4" ht="12.75">
      <c r="A27" s="1" t="s">
        <v>20</v>
      </c>
      <c r="B27" s="3">
        <f>B15*B19</f>
        <v>8.533333333333333</v>
      </c>
      <c r="C27" s="1"/>
      <c r="D27" s="1"/>
    </row>
    <row r="28" spans="1:4" ht="12.75">
      <c r="A28" s="1" t="s">
        <v>25</v>
      </c>
      <c r="B28" s="5">
        <f>B25*B17</f>
        <v>53.33333333333334</v>
      </c>
      <c r="C28" s="1"/>
      <c r="D28" s="1"/>
    </row>
    <row r="29" spans="1:4" ht="12.75">
      <c r="A29" s="1" t="s">
        <v>14</v>
      </c>
      <c r="B29" s="5">
        <f>(B28*1056)/B27</f>
        <v>6600.000000000001</v>
      </c>
      <c r="C29" s="1"/>
      <c r="D29" s="1"/>
    </row>
    <row r="30" spans="1:6" ht="12.75">
      <c r="A30" s="1"/>
      <c r="B30" s="1" t="s">
        <v>26</v>
      </c>
      <c r="C30" s="1" t="s">
        <v>27</v>
      </c>
      <c r="E30" s="1" t="s">
        <v>28</v>
      </c>
      <c r="F30" s="1" t="s">
        <v>27</v>
      </c>
    </row>
    <row r="31" spans="1:6" ht="12.75">
      <c r="A31" s="1" t="s">
        <v>29</v>
      </c>
      <c r="B31" s="3">
        <f>B27-(B27*0.1)</f>
        <v>7.68</v>
      </c>
      <c r="C31" s="3">
        <f>($B$28*1056)/B31</f>
        <v>7333.333333333335</v>
      </c>
      <c r="E31" s="3">
        <f>B27+(B27*0.1)</f>
        <v>9.386666666666667</v>
      </c>
      <c r="F31" s="3">
        <f>($B$28*1056)/E31</f>
        <v>6000.000000000001</v>
      </c>
    </row>
    <row r="32" spans="1:6" ht="12.75">
      <c r="A32" s="1" t="s">
        <v>30</v>
      </c>
      <c r="B32" s="3">
        <f>B31-(B31*0.1)</f>
        <v>6.912</v>
      </c>
      <c r="C32" s="3">
        <f>($B$28*1056)/B32</f>
        <v>8148.14814814815</v>
      </c>
      <c r="E32" s="3">
        <f>E31+(E31*0.1)</f>
        <v>10.325333333333333</v>
      </c>
      <c r="F32" s="3">
        <f>($B$28*1056)/E32</f>
        <v>5454.545454545455</v>
      </c>
    </row>
    <row r="33" spans="1:6" ht="12.75">
      <c r="A33" s="1"/>
      <c r="B33" s="3">
        <f>B32-(B32*0.1)</f>
        <v>6.2208</v>
      </c>
      <c r="C33" s="3">
        <f>($B$28*1056)/B33</f>
        <v>9053.497942386834</v>
      </c>
      <c r="E33" s="3">
        <f>E32+(E32*0.1)</f>
        <v>11.357866666666666</v>
      </c>
      <c r="F33" s="3">
        <f>($B$28*1056)/E33</f>
        <v>4958.677685950414</v>
      </c>
    </row>
    <row r="34" spans="1:6" ht="12.75">
      <c r="A34" s="1"/>
      <c r="B34" s="3">
        <f>B33-(B33*0.1)</f>
        <v>5.59872</v>
      </c>
      <c r="C34" s="3">
        <f>($B$28*1056)/B34</f>
        <v>10059.442158207592</v>
      </c>
      <c r="E34" s="3">
        <f>E33+(E33*0.1)</f>
        <v>12.493653333333333</v>
      </c>
      <c r="F34" s="3">
        <f>($B$28*1056)/E34</f>
        <v>4507.888805409468</v>
      </c>
    </row>
    <row r="35" spans="1:6" ht="12.75">
      <c r="A35" s="1"/>
      <c r="B35" s="3">
        <f>B34-(B34*0.1)</f>
        <v>5.038848</v>
      </c>
      <c r="C35" s="3">
        <f>($B$28*1056)/B35</f>
        <v>11177.15795356399</v>
      </c>
      <c r="E35" s="3">
        <f>E34+(E34*0.1)</f>
        <v>13.743018666666666</v>
      </c>
      <c r="F35" s="3">
        <f>($B$28*1056)/E35</f>
        <v>4098.080732190425</v>
      </c>
    </row>
    <row r="36" spans="1:6" ht="12.75">
      <c r="A36" s="1"/>
      <c r="B36" s="3">
        <f>B35-(B35*0.1)</f>
        <v>4.5349632</v>
      </c>
      <c r="C36" s="3">
        <f>($B$28*1056)/B36</f>
        <v>12419.064392848879</v>
      </c>
      <c r="E36" s="3">
        <f>E35+(E35*0.1)</f>
        <v>15.117320533333332</v>
      </c>
      <c r="F36" s="3">
        <f>($B$28*1056)/E36</f>
        <v>3725.527938354932</v>
      </c>
    </row>
    <row r="37" spans="1:6" ht="12.75">
      <c r="A37" s="1"/>
      <c r="B37" s="3">
        <f>B36-(B36*0.1)</f>
        <v>4.08146688</v>
      </c>
      <c r="C37" s="3">
        <f>($B$28*1056)/B37</f>
        <v>13798.960436498755</v>
      </c>
      <c r="E37" s="3">
        <f>E36+(E36*0.1)</f>
        <v>16.629052586666667</v>
      </c>
      <c r="F37" s="3">
        <f>($B$28*1056)/E37</f>
        <v>3386.843580322665</v>
      </c>
    </row>
    <row r="38" spans="1:6" ht="12.75">
      <c r="A38" s="1"/>
      <c r="B38" s="3">
        <f>B37-(B37*0.1)</f>
        <v>3.673320192</v>
      </c>
      <c r="C38" s="3">
        <f>($B$28*1056)/B38</f>
        <v>15332.178262776393</v>
      </c>
      <c r="E38" s="3">
        <f>E37+(E37*0.1)</f>
        <v>18.291957845333332</v>
      </c>
      <c r="F38" s="3">
        <f>($B$28*1056)/E38</f>
        <v>3078.9487093842413</v>
      </c>
    </row>
    <row r="39" spans="1:6" ht="12.75">
      <c r="A39" s="1"/>
      <c r="B39" s="3">
        <f>B38-(B38*0.1)</f>
        <v>3.3059881728</v>
      </c>
      <c r="C39" s="3">
        <f>($B$28*1056)/B39</f>
        <v>17035.753625307105</v>
      </c>
      <c r="E39" s="3">
        <f>E38+(E38*0.1)</f>
        <v>20.121153629866665</v>
      </c>
      <c r="F39" s="3">
        <f>($B$28*1056)/E39</f>
        <v>2799.044281258401</v>
      </c>
    </row>
    <row r="40" spans="1:6" ht="12.75">
      <c r="A40" s="1"/>
      <c r="B40" s="3">
        <f>B39-(B39*0.1)</f>
        <v>2.97538935552</v>
      </c>
      <c r="C40" s="3">
        <f>($B$28*1056)/B40</f>
        <v>18928.615139230114</v>
      </c>
      <c r="E40" s="3">
        <f>E39+(E39*0.1)</f>
        <v>22.13326899285333</v>
      </c>
      <c r="F40" s="3">
        <f>($B$28*1056)/E40</f>
        <v>2544.58571023491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="90" zoomScaleNormal="90" workbookViewId="0" topLeftCell="A1">
      <selection activeCell="C2" sqref="C2"/>
    </sheetView>
  </sheetViews>
  <sheetFormatPr defaultColWidth="12.57421875" defaultRowHeight="12.75"/>
  <cols>
    <col min="1" max="1" width="38.140625" style="0" customWidth="1"/>
    <col min="2" max="2" width="17.57421875" style="0" customWidth="1"/>
    <col min="3" max="3" width="14.28125" style="0" customWidth="1"/>
    <col min="4" max="4" width="9.7109375" style="0" customWidth="1"/>
    <col min="5" max="16384" width="11.57421875" style="0" customWidth="1"/>
  </cols>
  <sheetData>
    <row r="1" spans="1:4" ht="12.75">
      <c r="A1" s="1" t="s">
        <v>31</v>
      </c>
      <c r="B1" s="2" t="s">
        <v>32</v>
      </c>
      <c r="C1" s="2"/>
      <c r="D1" s="1"/>
    </row>
    <row r="2" spans="1:4" ht="12.75">
      <c r="A2" s="1" t="s">
        <v>2</v>
      </c>
      <c r="C2" s="1"/>
      <c r="D2" s="1"/>
    </row>
    <row r="3" spans="1:4" ht="12.75">
      <c r="A3" s="1" t="s">
        <v>33</v>
      </c>
      <c r="B3" s="2">
        <v>558.45</v>
      </c>
      <c r="C3" s="1"/>
      <c r="D3" s="1"/>
    </row>
    <row r="4" spans="1:4" ht="12.75">
      <c r="A4" s="1" t="s">
        <v>34</v>
      </c>
      <c r="B4" s="2">
        <v>74.615</v>
      </c>
      <c r="C4" s="1"/>
      <c r="D4" s="1"/>
    </row>
    <row r="5" spans="1:4" ht="12.75">
      <c r="A5" s="1" t="s">
        <v>35</v>
      </c>
      <c r="B5" s="2">
        <v>57.93</v>
      </c>
      <c r="C5" s="1"/>
      <c r="D5" s="1"/>
    </row>
    <row r="6" spans="1:4" ht="12.75">
      <c r="A6" s="1" t="s">
        <v>36</v>
      </c>
      <c r="B6" s="2">
        <v>510</v>
      </c>
      <c r="C6" s="1"/>
      <c r="D6" s="1"/>
    </row>
    <row r="7" spans="1:4" ht="12.75">
      <c r="A7" s="1" t="s">
        <v>12</v>
      </c>
      <c r="B7" s="2">
        <v>12</v>
      </c>
      <c r="C7" s="1"/>
      <c r="D7" s="1"/>
    </row>
    <row r="8" spans="1:4" ht="12.75">
      <c r="A8" s="1" t="s">
        <v>20</v>
      </c>
      <c r="B8" s="2">
        <v>10</v>
      </c>
      <c r="C8" s="1"/>
      <c r="D8" s="1"/>
    </row>
    <row r="9" spans="1:4" ht="12.75">
      <c r="A9" s="1" t="s">
        <v>27</v>
      </c>
      <c r="B9" s="2">
        <v>7750</v>
      </c>
      <c r="C9" s="1"/>
      <c r="D9" s="1"/>
    </row>
    <row r="10" spans="1:4" ht="12.75">
      <c r="A10" s="1"/>
      <c r="B10" s="1"/>
      <c r="C10" s="1"/>
      <c r="D10" s="1"/>
    </row>
    <row r="11" spans="1:4" ht="12.75">
      <c r="A11" s="1" t="s">
        <v>15</v>
      </c>
      <c r="B11" s="1"/>
      <c r="C11" s="1"/>
      <c r="D11" s="1"/>
    </row>
    <row r="12" spans="1:4" ht="12.75">
      <c r="A12" s="1" t="s">
        <v>16</v>
      </c>
      <c r="B12" s="5">
        <f>B4/(B3/144)^1.5</f>
        <v>9.76997468803879</v>
      </c>
      <c r="C12" s="1"/>
      <c r="D12" s="1"/>
    </row>
    <row r="13" spans="1:4" ht="12.75">
      <c r="A13" s="1" t="s">
        <v>17</v>
      </c>
      <c r="B13" s="5">
        <f>B4/(B3/144)</f>
        <v>19.239967767929087</v>
      </c>
      <c r="C13" s="1" t="s">
        <v>18</v>
      </c>
      <c r="D13" s="1"/>
    </row>
    <row r="14" spans="1:4" ht="12.75">
      <c r="A14" s="1" t="s">
        <v>19</v>
      </c>
      <c r="B14" s="5">
        <f>B6/(B4/16)</f>
        <v>109.36138846076527</v>
      </c>
      <c r="C14" s="1"/>
      <c r="D14" s="1"/>
    </row>
    <row r="15" spans="1:4" ht="12.75">
      <c r="A15" s="1" t="s">
        <v>37</v>
      </c>
      <c r="B15" s="5">
        <f>(B9*B8)/1056</f>
        <v>73.39015151515152</v>
      </c>
      <c r="C15" s="1"/>
      <c r="D15" s="1"/>
    </row>
    <row r="16" spans="1:4" ht="12.75">
      <c r="A16" s="1" t="s">
        <v>21</v>
      </c>
      <c r="B16" s="5">
        <f>3.7*SQRT(B13)</f>
        <v>16.229453433278312</v>
      </c>
      <c r="C16" s="1"/>
      <c r="D16" s="1"/>
    </row>
    <row r="17" spans="1:4" ht="12.75">
      <c r="A17" s="1" t="s">
        <v>22</v>
      </c>
      <c r="B17" s="5">
        <f>B15/B16</f>
        <v>4.522034695553322</v>
      </c>
      <c r="C17" s="1"/>
      <c r="D17" s="1"/>
    </row>
    <row r="18" spans="1:4" ht="12.75">
      <c r="A18" s="1"/>
      <c r="B18" s="1"/>
      <c r="C18" s="1"/>
      <c r="D18" s="1"/>
    </row>
    <row r="19" spans="1:4" ht="12.75">
      <c r="A19" s="6" t="s">
        <v>23</v>
      </c>
      <c r="B19" s="2">
        <v>0.82</v>
      </c>
      <c r="C19" s="1"/>
      <c r="D19" s="1"/>
    </row>
    <row r="20" spans="1:4" ht="12.75">
      <c r="A20" s="1" t="s">
        <v>38</v>
      </c>
      <c r="B20" s="5">
        <f>(SQRT(B3)*B19)^2</f>
        <v>375.50178000000005</v>
      </c>
      <c r="C20" s="1"/>
      <c r="D20" s="1"/>
    </row>
    <row r="21" spans="1:4" ht="12.75">
      <c r="A21" s="1" t="s">
        <v>39</v>
      </c>
      <c r="B21" s="5">
        <f>(B20/144)^1.5*B12</f>
        <v>41.14032332</v>
      </c>
      <c r="C21" s="1"/>
      <c r="D21" s="1"/>
    </row>
    <row r="22" spans="1:4" ht="12.75">
      <c r="A22" s="1" t="s">
        <v>35</v>
      </c>
      <c r="B22" s="5">
        <f>B5*B19</f>
        <v>47.502599999999994</v>
      </c>
      <c r="C22" s="1"/>
      <c r="D22" s="1"/>
    </row>
    <row r="23" spans="1:4" ht="12.75">
      <c r="A23" s="1" t="s">
        <v>17</v>
      </c>
      <c r="B23" s="5">
        <f>B21/(B20/144)</f>
        <v>15.77677356970185</v>
      </c>
      <c r="C23" s="1" t="s">
        <v>18</v>
      </c>
      <c r="D23" s="1"/>
    </row>
    <row r="24" spans="1:4" ht="12.75">
      <c r="A24" s="1" t="s">
        <v>24</v>
      </c>
      <c r="B24" s="5">
        <f>(B21/16)*B14</f>
        <v>281.19768000000005</v>
      </c>
      <c r="C24" s="1"/>
      <c r="D24" s="1"/>
    </row>
    <row r="25" spans="1:4" ht="12.75">
      <c r="A25" s="1" t="s">
        <v>21</v>
      </c>
      <c r="B25" s="5">
        <f>3.7*SQRT(B23)</f>
        <v>14.69639514198017</v>
      </c>
      <c r="C25" s="1"/>
      <c r="D25" s="1"/>
    </row>
    <row r="26" spans="1:4" ht="12.75">
      <c r="A26" s="1" t="s">
        <v>12</v>
      </c>
      <c r="B26" s="3">
        <f>B7*B19</f>
        <v>9.84</v>
      </c>
      <c r="C26" s="1"/>
      <c r="D26" s="1"/>
    </row>
    <row r="27" spans="1:4" ht="12.75">
      <c r="A27" s="1" t="s">
        <v>20</v>
      </c>
      <c r="B27" s="3">
        <f>B8*B19</f>
        <v>8.2</v>
      </c>
      <c r="C27" s="1"/>
      <c r="D27" s="1"/>
    </row>
    <row r="28" spans="1:4" ht="12.75">
      <c r="A28" s="1" t="s">
        <v>25</v>
      </c>
      <c r="B28" s="5">
        <f>B25*B17</f>
        <v>66.45760873159563</v>
      </c>
      <c r="C28" s="1"/>
      <c r="D28" s="1"/>
    </row>
    <row r="29" spans="1:4" ht="12.75">
      <c r="A29" s="1" t="s">
        <v>27</v>
      </c>
      <c r="B29" s="5">
        <f>(B28*1056)/B27</f>
        <v>8558.443270800608</v>
      </c>
      <c r="C29" s="1"/>
      <c r="D29" s="1"/>
    </row>
    <row r="30" spans="1:2" ht="12.75">
      <c r="A30" s="1"/>
      <c r="B30" s="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1"/>
  <sheetViews>
    <sheetView zoomScale="90" zoomScaleNormal="90" workbookViewId="0" topLeftCell="A14">
      <selection activeCell="A32" sqref="A32"/>
    </sheetView>
  </sheetViews>
  <sheetFormatPr defaultColWidth="12.57421875" defaultRowHeight="12.75"/>
  <cols>
    <col min="1" max="1" width="38.00390625" style="1" customWidth="1"/>
    <col min="2" max="2" width="18.57421875" style="1" customWidth="1"/>
    <col min="3" max="3" width="14.140625" style="1" customWidth="1"/>
    <col min="4" max="4" width="11.57421875" style="1" customWidth="1"/>
    <col min="5" max="5" width="38.00390625" style="1" customWidth="1"/>
    <col min="6" max="6" width="14.28125" style="1" customWidth="1"/>
    <col min="7" max="7" width="19.28125" style="1" customWidth="1"/>
    <col min="8" max="8" width="17.8515625" style="1" customWidth="1"/>
    <col min="9" max="9" width="9.00390625" style="1" customWidth="1"/>
    <col min="10" max="10" width="9.140625" style="1" customWidth="1"/>
    <col min="11" max="11" width="8.28125" style="1" customWidth="1"/>
    <col min="12" max="12" width="14.28125" style="1" customWidth="1"/>
    <col min="13" max="16384" width="11.57421875" style="1" customWidth="1"/>
  </cols>
  <sheetData>
    <row r="1" spans="12:14" ht="12.75">
      <c r="L1"/>
      <c r="M1"/>
      <c r="N1"/>
    </row>
    <row r="2" spans="1:14" ht="12.75">
      <c r="A2" s="1" t="s">
        <v>0</v>
      </c>
      <c r="B2" s="2" t="s">
        <v>1</v>
      </c>
      <c r="F2" s="2" t="s">
        <v>40</v>
      </c>
      <c r="G2" s="2" t="s">
        <v>41</v>
      </c>
      <c r="H2" s="2" t="s">
        <v>1</v>
      </c>
      <c r="I2" s="2" t="s">
        <v>42</v>
      </c>
      <c r="J2" s="2" t="s">
        <v>43</v>
      </c>
      <c r="K2" s="2" t="s">
        <v>44</v>
      </c>
      <c r="L2"/>
      <c r="M2"/>
      <c r="N2"/>
    </row>
    <row r="3" spans="1:14" ht="12.75">
      <c r="A3" s="1" t="s">
        <v>2</v>
      </c>
      <c r="C3" s="1" t="s">
        <v>3</v>
      </c>
      <c r="L3"/>
      <c r="M3"/>
      <c r="N3"/>
    </row>
    <row r="4" spans="1:14" ht="12.75">
      <c r="A4" s="1" t="s">
        <v>4</v>
      </c>
      <c r="B4" s="2">
        <v>763.3</v>
      </c>
      <c r="C4" s="3">
        <f>B4*144</f>
        <v>109915.2</v>
      </c>
      <c r="D4" s="1" t="s">
        <v>5</v>
      </c>
      <c r="E4" s="1" t="s">
        <v>4</v>
      </c>
      <c r="F4" s="2">
        <v>178.5</v>
      </c>
      <c r="G4" s="2">
        <v>298</v>
      </c>
      <c r="H4" s="2">
        <v>763.3</v>
      </c>
      <c r="I4" s="2">
        <v>200</v>
      </c>
      <c r="J4" s="2">
        <v>253.7</v>
      </c>
      <c r="K4" s="2">
        <v>239</v>
      </c>
      <c r="L4"/>
      <c r="M4"/>
      <c r="N4"/>
    </row>
    <row r="5" spans="1:14" ht="12.75">
      <c r="A5" s="1" t="s">
        <v>6</v>
      </c>
      <c r="B5" s="2">
        <v>9650</v>
      </c>
      <c r="C5" s="3">
        <f>B5*16</f>
        <v>154400</v>
      </c>
      <c r="D5" s="1" t="s">
        <v>7</v>
      </c>
      <c r="E5" s="1" t="s">
        <v>6</v>
      </c>
      <c r="F5" s="2">
        <v>993</v>
      </c>
      <c r="G5" s="2">
        <v>2283</v>
      </c>
      <c r="H5" s="2">
        <v>9650</v>
      </c>
      <c r="I5" s="2">
        <v>2200</v>
      </c>
      <c r="J5" s="2">
        <v>4158</v>
      </c>
      <c r="K5" s="2">
        <v>3935</v>
      </c>
      <c r="L5"/>
      <c r="M5"/>
      <c r="N5"/>
    </row>
    <row r="6" spans="1:14" ht="12.75">
      <c r="A6" s="1" t="s">
        <v>8</v>
      </c>
      <c r="B6" s="4">
        <v>59.71</v>
      </c>
      <c r="C6" s="3">
        <f>B6*12</f>
        <v>716.52</v>
      </c>
      <c r="D6" s="1" t="s">
        <v>9</v>
      </c>
      <c r="E6" s="1" t="s">
        <v>8</v>
      </c>
      <c r="F6" s="2">
        <v>35.25</v>
      </c>
      <c r="G6" s="4">
        <f>32+2/12</f>
        <v>32.166666666666664</v>
      </c>
      <c r="H6" s="4">
        <v>59.71</v>
      </c>
      <c r="I6" s="2">
        <v>36</v>
      </c>
      <c r="J6" s="2">
        <v>42</v>
      </c>
      <c r="K6" s="2">
        <v>42</v>
      </c>
      <c r="L6"/>
      <c r="M6"/>
      <c r="N6"/>
    </row>
    <row r="7" spans="1:14" ht="12.75">
      <c r="A7" s="1" t="s">
        <v>10</v>
      </c>
      <c r="B7" s="2">
        <v>1000</v>
      </c>
      <c r="C7" s="3">
        <f>B7*746</f>
        <v>746000</v>
      </c>
      <c r="D7" s="1" t="s">
        <v>11</v>
      </c>
      <c r="E7" s="1" t="s">
        <v>10</v>
      </c>
      <c r="F7" s="2">
        <v>65</v>
      </c>
      <c r="G7" s="2">
        <v>220</v>
      </c>
      <c r="H7" s="2">
        <v>1000</v>
      </c>
      <c r="I7" s="2">
        <v>200</v>
      </c>
      <c r="J7" s="2">
        <v>600</v>
      </c>
      <c r="K7" s="2">
        <v>450</v>
      </c>
      <c r="L7"/>
      <c r="M7"/>
      <c r="N7"/>
    </row>
    <row r="8" spans="1:14" ht="12.75">
      <c r="A8" s="1" t="s">
        <v>12</v>
      </c>
      <c r="B8" s="2">
        <v>141.73</v>
      </c>
      <c r="E8" s="1" t="s">
        <v>12</v>
      </c>
      <c r="F8" s="2">
        <v>72</v>
      </c>
      <c r="G8" s="2">
        <v>98</v>
      </c>
      <c r="H8" s="2">
        <v>141.73</v>
      </c>
      <c r="I8" s="2">
        <v>74</v>
      </c>
      <c r="J8" s="2">
        <v>109</v>
      </c>
      <c r="K8" s="2">
        <f>9*12</f>
        <v>108</v>
      </c>
      <c r="L8"/>
      <c r="M8"/>
      <c r="N8"/>
    </row>
    <row r="9" spans="1:14" ht="12.75">
      <c r="A9" s="1" t="s">
        <v>13</v>
      </c>
      <c r="B9" s="2">
        <v>160</v>
      </c>
      <c r="E9" s="1" t="s">
        <v>13</v>
      </c>
      <c r="F9" s="2">
        <v>87</v>
      </c>
      <c r="G9" s="2">
        <v>135</v>
      </c>
      <c r="H9" s="2">
        <v>160</v>
      </c>
      <c r="I9" s="2">
        <v>122</v>
      </c>
      <c r="J9" s="2">
        <v>208</v>
      </c>
      <c r="K9" s="2">
        <v>180</v>
      </c>
      <c r="L9"/>
      <c r="M9"/>
      <c r="N9"/>
    </row>
    <row r="10" spans="1:14" ht="12.75">
      <c r="A10" s="1" t="s">
        <v>14</v>
      </c>
      <c r="B10" s="2">
        <v>2200</v>
      </c>
      <c r="E10" s="1" t="s">
        <v>14</v>
      </c>
      <c r="F10" s="2">
        <v>2297</v>
      </c>
      <c r="G10" s="2">
        <v>2200</v>
      </c>
      <c r="H10" s="2">
        <v>2200</v>
      </c>
      <c r="I10" s="2">
        <v>2301</v>
      </c>
      <c r="J10" s="2">
        <v>2196</v>
      </c>
      <c r="K10" s="2">
        <v>2300</v>
      </c>
      <c r="L10"/>
      <c r="M10"/>
      <c r="N10"/>
    </row>
    <row r="11" spans="12:13" ht="12.75">
      <c r="L11"/>
      <c r="M11"/>
    </row>
    <row r="12" spans="1:13" ht="12.75">
      <c r="A12" s="1" t="s">
        <v>15</v>
      </c>
      <c r="E12" s="1" t="s">
        <v>16</v>
      </c>
      <c r="F12" s="7">
        <v>6.66</v>
      </c>
      <c r="G12" s="7">
        <v>7.1</v>
      </c>
      <c r="H12" s="7">
        <v>7.26</v>
      </c>
      <c r="I12" s="7">
        <v>12.45</v>
      </c>
      <c r="J12" s="7">
        <v>16.46</v>
      </c>
      <c r="K12" s="7">
        <v>17.04</v>
      </c>
      <c r="L12"/>
      <c r="M12"/>
    </row>
    <row r="13" spans="1:13" ht="12.75">
      <c r="A13" s="1" t="s">
        <v>16</v>
      </c>
      <c r="B13" s="5">
        <f>C5/B4^1.5</f>
        <v>7.321573093483856</v>
      </c>
      <c r="E13" s="1" t="s">
        <v>19</v>
      </c>
      <c r="F13" s="7">
        <v>48.83</v>
      </c>
      <c r="G13" s="7">
        <v>71.89</v>
      </c>
      <c r="H13" s="7">
        <v>76.91</v>
      </c>
      <c r="I13" s="7">
        <v>67.82</v>
      </c>
      <c r="J13" s="7">
        <v>107.65</v>
      </c>
      <c r="K13" s="7">
        <v>85.31</v>
      </c>
      <c r="L13"/>
      <c r="M13"/>
    </row>
    <row r="14" spans="1:13" ht="12.75">
      <c r="A14" s="1" t="s">
        <v>17</v>
      </c>
      <c r="B14" s="5">
        <f>C5/B4</f>
        <v>202.27957552731561</v>
      </c>
      <c r="C14" s="1" t="s">
        <v>18</v>
      </c>
      <c r="E14" s="1" t="s">
        <v>22</v>
      </c>
      <c r="F14" s="7">
        <v>2.49</v>
      </c>
      <c r="G14" s="7">
        <v>3.3</v>
      </c>
      <c r="H14" s="7">
        <v>3.05</v>
      </c>
      <c r="I14" s="7">
        <v>2.49</v>
      </c>
      <c r="J14" s="7">
        <v>3.47</v>
      </c>
      <c r="K14" s="7">
        <v>3</v>
      </c>
      <c r="L14"/>
      <c r="M14"/>
    </row>
    <row r="15" spans="1:6" ht="12.75">
      <c r="A15" s="1" t="s">
        <v>19</v>
      </c>
      <c r="B15" s="5">
        <f>C7/B5</f>
        <v>77.30569948186529</v>
      </c>
      <c r="F15"/>
    </row>
    <row r="16" spans="1:9" ht="12.75">
      <c r="A16" s="1" t="s">
        <v>20</v>
      </c>
      <c r="B16" s="5">
        <f>(B9*1056)/B10</f>
        <v>76.8</v>
      </c>
      <c r="E16"/>
      <c r="F16" s="2" t="s">
        <v>45</v>
      </c>
      <c r="G16" s="2" t="s">
        <v>46</v>
      </c>
      <c r="H16" s="2" t="s">
        <v>47</v>
      </c>
      <c r="I16" s="2" t="s">
        <v>48</v>
      </c>
    </row>
    <row r="17" spans="1:8" ht="12.75">
      <c r="A17" s="1" t="s">
        <v>21</v>
      </c>
      <c r="B17" s="5">
        <f>3.7*SQRT(B14)</f>
        <v>52.62325901128655</v>
      </c>
      <c r="E17"/>
      <c r="F17"/>
      <c r="H17"/>
    </row>
    <row r="18" spans="1:9" ht="12.75">
      <c r="A18" s="1" t="s">
        <v>22</v>
      </c>
      <c r="B18" s="5">
        <f>B9/B17</f>
        <v>3.0404806354863627</v>
      </c>
      <c r="E18" s="1" t="s">
        <v>4</v>
      </c>
      <c r="F18" s="2">
        <v>241.5</v>
      </c>
      <c r="G18" s="2">
        <v>242.1</v>
      </c>
      <c r="H18" s="2">
        <v>610</v>
      </c>
      <c r="I18" s="2">
        <v>235</v>
      </c>
    </row>
    <row r="19" spans="5:9" ht="12.75">
      <c r="E19" s="1" t="s">
        <v>6</v>
      </c>
      <c r="F19" s="2">
        <v>4510</v>
      </c>
      <c r="G19" s="2">
        <v>5844</v>
      </c>
      <c r="H19" s="2">
        <v>27240</v>
      </c>
      <c r="I19" s="2">
        <v>8418</v>
      </c>
    </row>
    <row r="20" spans="1:9" ht="12.75">
      <c r="A20" s="6" t="s">
        <v>23</v>
      </c>
      <c r="B20" s="8">
        <f>1/9</f>
        <v>0.1111111111111111</v>
      </c>
      <c r="E20" s="1" t="s">
        <v>8</v>
      </c>
      <c r="F20" s="4">
        <f>39+4/12</f>
        <v>39.333333333333336</v>
      </c>
      <c r="G20" s="4">
        <f>36+(10/12)</f>
        <v>36.833333333333336</v>
      </c>
      <c r="H20" s="4">
        <f>67+(7/12)</f>
        <v>67.58333333333333</v>
      </c>
      <c r="I20" s="2">
        <v>37</v>
      </c>
    </row>
    <row r="21" spans="1:9" ht="12.75">
      <c r="A21" s="1" t="s">
        <v>4</v>
      </c>
      <c r="B21" s="5">
        <f>(SQRT(B4)*B20)^2</f>
        <v>9.423456790123454</v>
      </c>
      <c r="C21" s="3">
        <f>(SQRT(C4)*B20)^2</f>
        <v>1356.9777777777779</v>
      </c>
      <c r="D21" s="1" t="s">
        <v>5</v>
      </c>
      <c r="E21" s="1" t="s">
        <v>10</v>
      </c>
      <c r="F21" s="2">
        <v>950</v>
      </c>
      <c r="G21" s="2">
        <v>1515</v>
      </c>
      <c r="H21" s="2">
        <f>1750*2</f>
        <v>3500</v>
      </c>
      <c r="I21" s="2">
        <v>1490</v>
      </c>
    </row>
    <row r="22" spans="1:9" ht="12.75">
      <c r="A22" s="1" t="s">
        <v>6</v>
      </c>
      <c r="B22" s="5">
        <f>((C21/144)^1.5*B13)/16</f>
        <v>13.237311385459538</v>
      </c>
      <c r="C22" s="3">
        <f>B22*16</f>
        <v>211.7969821673526</v>
      </c>
      <c r="D22" s="1" t="s">
        <v>7</v>
      </c>
      <c r="E22" s="1" t="s">
        <v>12</v>
      </c>
      <c r="F22" s="4">
        <f>12*9+(6+(3/16))</f>
        <v>114.1875</v>
      </c>
      <c r="G22" s="2">
        <f>10*12+9</f>
        <v>129</v>
      </c>
      <c r="H22" s="4">
        <f>12*12+7</f>
        <v>151</v>
      </c>
      <c r="I22" s="2">
        <f>11*12+2</f>
        <v>134</v>
      </c>
    </row>
    <row r="23" spans="1:9" ht="12.75">
      <c r="A23" s="1" t="s">
        <v>8</v>
      </c>
      <c r="B23" s="5">
        <f>B6*B20</f>
        <v>6.634444444444444</v>
      </c>
      <c r="C23" s="5">
        <f>B23*12</f>
        <v>79.61333333333333</v>
      </c>
      <c r="D23" s="1" t="s">
        <v>9</v>
      </c>
      <c r="E23" s="1" t="s">
        <v>13</v>
      </c>
      <c r="F23" s="2">
        <v>331.5</v>
      </c>
      <c r="G23" s="2">
        <v>370</v>
      </c>
      <c r="H23" s="2">
        <v>272</v>
      </c>
      <c r="I23" s="2">
        <v>362</v>
      </c>
    </row>
    <row r="24" spans="1:9" ht="12.75">
      <c r="A24" s="1" t="s">
        <v>17</v>
      </c>
      <c r="B24" s="5">
        <f>C22/B21</f>
        <v>22.47550839192397</v>
      </c>
      <c r="C24" s="1" t="s">
        <v>18</v>
      </c>
      <c r="E24" s="1" t="s">
        <v>14</v>
      </c>
      <c r="F24" s="2">
        <v>1787.5</v>
      </c>
      <c r="G24" s="2">
        <v>3000</v>
      </c>
      <c r="H24" s="2">
        <v>2600</v>
      </c>
      <c r="I24" s="2">
        <v>3000</v>
      </c>
    </row>
    <row r="25" spans="1:8" ht="12.75">
      <c r="A25" s="1" t="s">
        <v>24</v>
      </c>
      <c r="B25" s="5">
        <f>B22*B15</f>
        <v>1023.3196159122089</v>
      </c>
      <c r="G25"/>
      <c r="H25"/>
    </row>
    <row r="26" spans="1:9" ht="12.75">
      <c r="A26" s="1" t="s">
        <v>21</v>
      </c>
      <c r="B26" s="5">
        <f>3.7*SQRT(B24)</f>
        <v>17.54108633709552</v>
      </c>
      <c r="E26" s="1" t="s">
        <v>16</v>
      </c>
      <c r="F26" s="7">
        <v>19.23</v>
      </c>
      <c r="G26" s="7">
        <v>24.82</v>
      </c>
      <c r="H26" s="7">
        <v>28.93</v>
      </c>
      <c r="I26" s="7">
        <v>37.39</v>
      </c>
    </row>
    <row r="27" spans="1:9" ht="12.75">
      <c r="A27" s="1" t="s">
        <v>12</v>
      </c>
      <c r="B27" s="3">
        <f>B8*B20</f>
        <v>15.747777777777776</v>
      </c>
      <c r="E27" s="1" t="s">
        <v>19</v>
      </c>
      <c r="F27" s="7">
        <v>157.14</v>
      </c>
      <c r="G27" s="7">
        <v>193.39</v>
      </c>
      <c r="H27" s="7">
        <v>95.85</v>
      </c>
      <c r="I27" s="7">
        <v>132.04</v>
      </c>
    </row>
    <row r="28" spans="1:9" ht="12.75">
      <c r="A28" s="1" t="s">
        <v>20</v>
      </c>
      <c r="B28" s="3">
        <f>B16*B20</f>
        <v>8.533333333333333</v>
      </c>
      <c r="E28" s="1" t="s">
        <v>22</v>
      </c>
      <c r="F28" s="7">
        <v>5.18</v>
      </c>
      <c r="G28" s="7">
        <v>5.09</v>
      </c>
      <c r="H28" s="7">
        <v>2.75</v>
      </c>
      <c r="I28" s="7">
        <v>4.09</v>
      </c>
    </row>
    <row r="29" spans="1:2" ht="12.75">
      <c r="A29" s="1" t="s">
        <v>25</v>
      </c>
      <c r="B29" s="5">
        <f>B26*B18</f>
        <v>53.33333333333334</v>
      </c>
    </row>
    <row r="30" spans="1:2" ht="12.75">
      <c r="A30" s="1" t="s">
        <v>14</v>
      </c>
      <c r="B30" s="5">
        <f>(B29*1056)/B28</f>
        <v>6600.000000000001</v>
      </c>
    </row>
    <row r="31" spans="2:6" ht="12.75">
      <c r="B31" s="1" t="s">
        <v>26</v>
      </c>
      <c r="C31" s="1" t="s">
        <v>27</v>
      </c>
      <c r="E31" s="1" t="s">
        <v>28</v>
      </c>
      <c r="F31" s="1" t="s">
        <v>27</v>
      </c>
    </row>
    <row r="32" spans="1:6" ht="12.75">
      <c r="A32" s="1" t="s">
        <v>29</v>
      </c>
      <c r="B32" s="3">
        <f>B28-(B28*0.1)</f>
        <v>7.68</v>
      </c>
      <c r="C32" s="3">
        <f>($B$29*1056)/B32</f>
        <v>7333.333333333335</v>
      </c>
      <c r="E32" s="3">
        <f>B28+(B28*0.1)</f>
        <v>9.386666666666667</v>
      </c>
      <c r="F32" s="3">
        <f>($B$29*1056)/E32</f>
        <v>6000.000000000001</v>
      </c>
    </row>
    <row r="33" spans="1:6" ht="12.75">
      <c r="A33" s="1" t="s">
        <v>49</v>
      </c>
      <c r="B33" s="3">
        <f>B32-(B32*0.1)</f>
        <v>6.912</v>
      </c>
      <c r="C33" s="3">
        <f>($B$29*1056)/B33</f>
        <v>8148.14814814815</v>
      </c>
      <c r="E33" s="3">
        <f>E32+(E32*0.1)</f>
        <v>10.325333333333333</v>
      </c>
      <c r="F33" s="3">
        <f>($B$29*1056)/E33</f>
        <v>5454.545454545455</v>
      </c>
    </row>
    <row r="34" spans="2:6" ht="12.75">
      <c r="B34" s="3">
        <f>B33-(B33*0.1)</f>
        <v>6.2208</v>
      </c>
      <c r="C34" s="3">
        <f>($B$29*1056)/B34</f>
        <v>9053.497942386834</v>
      </c>
      <c r="E34" s="3">
        <f>E33+(E33*0.1)</f>
        <v>11.357866666666666</v>
      </c>
      <c r="F34" s="3">
        <f>($B$29*1056)/E34</f>
        <v>4958.677685950414</v>
      </c>
    </row>
    <row r="35" spans="2:6" ht="12.75">
      <c r="B35" s="3">
        <f>B34-(B34*0.1)</f>
        <v>5.59872</v>
      </c>
      <c r="C35" s="3">
        <f>($B$29*1056)/B35</f>
        <v>10059.442158207592</v>
      </c>
      <c r="E35" s="3">
        <f>E34+(E34*0.1)</f>
        <v>12.493653333333333</v>
      </c>
      <c r="F35" s="3">
        <f>($B$29*1056)/E35</f>
        <v>4507.888805409468</v>
      </c>
    </row>
    <row r="36" spans="2:6" ht="12.75">
      <c r="B36" s="3">
        <f>B35-(B35*0.1)</f>
        <v>5.038848</v>
      </c>
      <c r="C36" s="3">
        <f>($B$29*1056)/B36</f>
        <v>11177.15795356399</v>
      </c>
      <c r="E36" s="3">
        <f>E35+(E35*0.1)</f>
        <v>13.743018666666666</v>
      </c>
      <c r="F36" s="3">
        <f>($B$29*1056)/E36</f>
        <v>4098.080732190425</v>
      </c>
    </row>
    <row r="37" spans="2:6" ht="12.75">
      <c r="B37" s="3">
        <f>B36-(B36*0.1)</f>
        <v>4.5349632</v>
      </c>
      <c r="C37" s="3">
        <f>($B$29*1056)/B37</f>
        <v>12419.064392848879</v>
      </c>
      <c r="E37" s="3">
        <f>E36+(E36*0.1)</f>
        <v>15.117320533333332</v>
      </c>
      <c r="F37" s="3">
        <f>($B$29*1056)/E37</f>
        <v>3725.527938354932</v>
      </c>
    </row>
    <row r="38" spans="2:6" ht="12.75">
      <c r="B38" s="3">
        <f>B37-(B37*0.1)</f>
        <v>4.08146688</v>
      </c>
      <c r="C38" s="3">
        <f>($B$29*1056)/B38</f>
        <v>13798.960436498755</v>
      </c>
      <c r="E38" s="3">
        <f>E37+(E37*0.1)</f>
        <v>16.629052586666667</v>
      </c>
      <c r="F38" s="3">
        <f>($B$29*1056)/E38</f>
        <v>3386.843580322665</v>
      </c>
    </row>
    <row r="39" spans="2:6" ht="12.75">
      <c r="B39" s="3">
        <f>B38-(B38*0.1)</f>
        <v>3.673320192</v>
      </c>
      <c r="C39" s="3">
        <f>($B$29*1056)/B39</f>
        <v>15332.178262776393</v>
      </c>
      <c r="E39" s="3">
        <f>E38+(E38*0.1)</f>
        <v>18.291957845333332</v>
      </c>
      <c r="F39" s="3">
        <f>($B$29*1056)/E39</f>
        <v>3078.9487093842413</v>
      </c>
    </row>
    <row r="40" spans="2:6" ht="12.75">
      <c r="B40" s="3">
        <f>B39-(B39*0.1)</f>
        <v>3.3059881728</v>
      </c>
      <c r="C40" s="3">
        <f>($B$29*1056)/B40</f>
        <v>17035.753625307105</v>
      </c>
      <c r="E40" s="3">
        <f>E39+(E39*0.1)</f>
        <v>20.121153629866665</v>
      </c>
      <c r="F40" s="3">
        <f>($B$29*1056)/E40</f>
        <v>2799.044281258401</v>
      </c>
    </row>
    <row r="41" spans="2:6" ht="12.75">
      <c r="B41" s="3">
        <f>B40-(B40*0.1)</f>
        <v>2.97538935552</v>
      </c>
      <c r="C41" s="3">
        <f>($B$29*1056)/B41</f>
        <v>18928.615139230114</v>
      </c>
      <c r="E41" s="3">
        <f>E40+(E40*0.1)</f>
        <v>22.13326899285333</v>
      </c>
      <c r="F41" s="3">
        <f>($B$29*1056)/E41</f>
        <v>2544.58571023491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Myers</dc:creator>
  <cp:keywords/>
  <dc:description/>
  <cp:lastModifiedBy>Ken Myers</cp:lastModifiedBy>
  <dcterms:created xsi:type="dcterms:W3CDTF">2014-02-28T18:37:34Z</dcterms:created>
  <dcterms:modified xsi:type="dcterms:W3CDTF">2014-03-18T14:10:06Z</dcterms:modified>
  <cp:category/>
  <cp:version/>
  <cp:contentType/>
  <cp:contentStatus/>
  <cp:revision>29</cp:revision>
</cp:coreProperties>
</file>